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<sst xmlns="http://schemas.openxmlformats.org/spreadsheetml/2006/main" count="125" uniqueCount="122">
  <si>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</si>
  <si>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</si>
  <si>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</si>
  <si>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</si>
  <si>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</si>
  <si>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</si>
  <si>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</si>
  <si>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</si>
  <si>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</si>
  <si>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</si>
  <si>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</si>
  <si>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</si>
  <si>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</si>
  <si>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</si>
  <si>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</si>
  <si>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</si>
  <si>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</si>
  <si>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</si>
  <si>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</si>
  <si>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</si>
  <si>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</si>
  <si>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</si>
  <si>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</si>
  <si>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</si>
  <si>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</si>
  <si>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</si>
  <si>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</si>
  <si>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</si>
  <si>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</si>
  <si>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</si>
  <si>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</si>
  <si>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</si>
  <si>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</si>
  <si>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</si>
  <si>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</si>
  <si>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</si>
  <si>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</si>
  <si>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</si>
  <si>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</si>
  <si>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</si>
  <si>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</si>
  <si>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</si>
  <si>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</si>
  <si>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</si>
  <si>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</si>
  <si>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</si>
  <si>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</si>
  <si>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</si>
  <si>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</si>
  <si>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</si>
  <si>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</si>
  <si>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</si>
  <si>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</si>
  <si>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</si>
  <si>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</si>
  <si>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</si>
  <si>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</si>
  <si>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</si>
  <si>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</si>
  <si>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</si>
  <si>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</si>
  <si>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</si>
  <si>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</si>
  <si>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</si>
  <si>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</si>
  <si>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</si>
  <si>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</si>
  <si>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</si>
  <si>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</si>
  <si>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</si>
  <si>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</si>
  <si>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</si>
  <si>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</si>
  <si>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</si>
  <si>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</si>
  <si>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</si>
  <si>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</si>
  <si>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</si>
  <si>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</si>
  <si>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</si>
  <si>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</si>
  <si>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</si>
  <si>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</si>
  <si>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</si>
  <si>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</si>
  <si>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</si>
  <si>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</si>
  <si>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</si>
  <si>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</si>
  <si>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</si>
  <si>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</si>
  <si>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</si>
  <si>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</si>
  <si>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</si>
  <si>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</si>
  <si>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</si>
  <si>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</si>
  <si>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</si>
  <si>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</si>
  <si>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</si>
  <si>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</si>
  <si>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</si>
  <si>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</si>
  <si>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</si>
  <si>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</si>
  <si>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</si>
  <si>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</si>
  <si>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</si>
  <si>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</si>
  <si>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</si>
  <si>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</si>
  <si>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</si>
  <si>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</si>
  <si>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</si>
  <si>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</si>
  <si>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</si>
  <si>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</si>
  <si>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</si>
  <si>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</si>
  <si>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</si>
  <si>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</si>
  <si>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29.09.16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</si>
</sst>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121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154240664.7</v>
      </c>
      <c r="E8" s="20">
        <f>E9+E25</f>
        <v>39746763.9</v>
      </c>
      <c r="F8" s="20">
        <f>F9+F25</f>
        <v>114493900.8</v>
      </c>
      <c r="G8" s="20">
        <f>G9+G25</f>
        <v>114493900.8</v>
      </c>
      <c r="H8" s="20">
        <f>H9+H25</f>
        <v>114572968.38</v>
      </c>
      <c r="I8" s="70">
        <f>H8/D8*100</f>
        <v>74.28194672452031</v>
      </c>
      <c r="J8" s="70">
        <f>H8/(L8+M8+N8+O8+P8+Q8+R8+N25+O25+P25+Q25+R25+S8+S25+T8)*100</f>
        <v>102.12582873536687</v>
      </c>
      <c r="K8" s="63">
        <f>K9+K17</f>
        <v>2728986.6799999983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2219340.7800000003</v>
      </c>
      <c r="U8" s="63">
        <f t="shared" si="0"/>
        <v>1553444</v>
      </c>
      <c r="V8" s="63">
        <f t="shared" si="0"/>
        <v>2405286.11</v>
      </c>
      <c r="W8" s="63">
        <f t="shared" si="0"/>
        <v>4603013.859999999</v>
      </c>
      <c r="X8" s="63">
        <f t="shared" si="0"/>
        <v>39746763.9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28456033.250000004</v>
      </c>
      <c r="I9" s="45">
        <f>H9/D9*100</f>
        <v>71.59333353928722</v>
      </c>
      <c r="J9" s="45">
        <f>H9/(L9+M9+N9+O9+P9+Q9+R9+S9+T9+M17+N17+O17+P17+Q17+R17+S17+T17)*100</f>
        <v>91.24904622114828</v>
      </c>
      <c r="K9" s="23">
        <f>L9+M9+N9+O9+P9+Q9+R9+S9+T9-H10-H11-H12-H13-H14-H15-H16</f>
        <v>19388.409999998752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99.89990802827465</v>
      </c>
      <c r="K10" s="51">
        <f aca="true" t="shared" si="2" ref="K10:K16">E10-H10</f>
        <v>2790.009999997914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</f>
        <v>3440497.43</v>
      </c>
      <c r="I12" s="46">
        <f aca="true" t="shared" si="3" ref="I12:I24">H12/D12*100</f>
        <v>95.82376438819058</v>
      </c>
      <c r="J12" s="89"/>
      <c r="K12" s="51">
        <f t="shared" si="2"/>
        <v>149945.3500000001</v>
      </c>
      <c r="Y12" s="69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2">
        <v>378405.78</v>
      </c>
      <c r="Y15" s="69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2">
        <v>2000000</v>
      </c>
      <c r="W16" s="72">
        <v>4511739.26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9104827.13</v>
      </c>
      <c r="I17" s="46">
        <f t="shared" si="3"/>
        <v>74.59487886806984</v>
      </c>
      <c r="J17" s="88">
        <f>H17/(L17+M17+N17+O17+P17+Q17+R17+S17+T17)*100</f>
        <v>77.06534022382503</v>
      </c>
      <c r="K17" s="71">
        <f>L17+M17+N17+O17+P17+Q17+R17+S17+T17-H17</f>
        <v>2709598.2699999996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</f>
        <v>3972089.8100000005</v>
      </c>
      <c r="I18" s="47">
        <f>H18/D18*100</f>
        <v>88.00464849894762</v>
      </c>
      <c r="J18" s="89"/>
      <c r="K18" s="79">
        <f>D18-H18</f>
        <v>541410.1899999995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9"/>
      <c r="K19" s="79">
        <f aca="true" t="shared" si="5" ref="K19:K24">D19-H19</f>
        <v>1638250.4000000004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79">
        <f t="shared" si="5"/>
        <v>301969.6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89"/>
      <c r="K21" s="79">
        <f t="shared" si="5"/>
        <v>92007.84999999986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79">
        <f t="shared" si="5"/>
        <v>293442.06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86116935.13</v>
      </c>
      <c r="I25" s="45">
        <f>H25/D25*100</f>
        <v>75.2153036347592</v>
      </c>
      <c r="J25" s="68">
        <f>H25/(L25+M25+N25+O25+P25+Q25+R25+S25+T25)*100</f>
        <v>95.83312926754948</v>
      </c>
      <c r="K25" s="52">
        <f>L25+M25+N25+O25+P25+Q25+R25+S25+T25-H25</f>
        <v>3744405.920000002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>SUM(P26:P45)</f>
        <v>13603977.01</v>
      </c>
      <c r="Q25" s="62">
        <f t="shared" si="6"/>
        <v>3768235.380000001</v>
      </c>
      <c r="R25" s="62">
        <f t="shared" si="6"/>
        <v>18763192.62</v>
      </c>
      <c r="S25" s="62">
        <f t="shared" si="6"/>
        <v>24610815.8</v>
      </c>
      <c r="T25" s="62">
        <f t="shared" si="6"/>
        <v>8858318.25</v>
      </c>
      <c r="U25" s="62">
        <f t="shared" si="6"/>
        <v>6706628.32</v>
      </c>
      <c r="V25" s="62">
        <f t="shared" si="6"/>
        <v>3377592.43</v>
      </c>
      <c r="W25" s="62">
        <f t="shared" si="6"/>
        <v>7248339</v>
      </c>
      <c r="X25" s="62">
        <f t="shared" si="6"/>
        <v>107193900.8</v>
      </c>
      <c r="Y25" s="69">
        <f aca="true" t="shared" si="7" ref="Y25:Y45">D25-X25</f>
        <v>7300000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H26/(L26+M26+N26+O26+P26+Q26+R26+S26+T26)*100</f>
        <v>40.476190476190474</v>
      </c>
      <c r="K26" s="52">
        <f aca="true" t="shared" si="8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7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 aca="true" t="shared" si="11" ref="J27:J45">H27/(L27+M27+N27+O27+P27+Q27+R27+S27+T27)*100</f>
        <v>100</v>
      </c>
      <c r="K27" s="52">
        <f t="shared" si="8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7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t="shared" si="11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7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1"/>
        <v>95.91765833333334</v>
      </c>
      <c r="K29" s="52">
        <f t="shared" si="8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7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1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7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1"/>
        <v>99.56553142857143</v>
      </c>
      <c r="K31" s="52">
        <f t="shared" si="8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7"/>
        <v>0</v>
      </c>
    </row>
    <row r="32" spans="1:25" s="4" customFormat="1" ht="24" customHeight="1">
      <c r="A32" s="1"/>
      <c r="B32" s="5"/>
      <c r="C32" s="54" t="s">
        <v>120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 t="shared" si="11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7"/>
        <v>0</v>
      </c>
    </row>
    <row r="33" spans="1:25" s="4" customFormat="1" ht="23.25" customHeight="1">
      <c r="A33" s="1"/>
      <c r="B33" s="5"/>
      <c r="C33" s="54" t="s">
        <v>106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>H33/(L33+M33+N33+O33+P33+Q33+R33+S33+T33)*100</f>
        <v>99.5836002875629</v>
      </c>
      <c r="K33" s="52">
        <f>L33+M33+N33+O33+P33+Q33+R33+S33+T33-H33</f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105</v>
      </c>
      <c r="D34" s="32">
        <f t="shared" si="9"/>
        <v>1050000</v>
      </c>
      <c r="E34" s="30"/>
      <c r="F34" s="32">
        <f t="shared" si="10"/>
        <v>1050000</v>
      </c>
      <c r="G34" s="32">
        <f>700000+350000</f>
        <v>1050000</v>
      </c>
      <c r="H34" s="25">
        <f>14000+433000+280000</f>
        <v>727000</v>
      </c>
      <c r="I34" s="46">
        <f t="shared" si="13"/>
        <v>69.23809523809524</v>
      </c>
      <c r="J34" s="67">
        <f t="shared" si="11"/>
        <v>90.68671171480214</v>
      </c>
      <c r="K34" s="52">
        <f t="shared" si="8"/>
        <v>74661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/>
      <c r="V34" s="43"/>
      <c r="W34" s="43">
        <v>248339</v>
      </c>
      <c r="X34" s="73">
        <f>SUM(L34:W34)</f>
        <v>1050000</v>
      </c>
      <c r="Y34" s="74">
        <f t="shared" si="7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9"/>
        <v>7000000</v>
      </c>
      <c r="E35" s="30"/>
      <c r="F35" s="32">
        <f t="shared" si="10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1"/>
        <v>185.28370162647224</v>
      </c>
      <c r="K35" s="52">
        <f t="shared" si="8"/>
        <v>-3041216.8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</f>
        <v>-834000</v>
      </c>
      <c r="U35" s="43">
        <f>2500000+934000</f>
        <v>3434000</v>
      </c>
      <c r="V35" s="43"/>
      <c r="W35" s="43"/>
      <c r="X35" s="73">
        <f t="shared" si="12"/>
        <v>7000000</v>
      </c>
      <c r="Y35" s="74">
        <f t="shared" si="7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9"/>
        <v>29600000</v>
      </c>
      <c r="E36" s="30"/>
      <c r="F36" s="32">
        <f t="shared" si="10"/>
        <v>29600000</v>
      </c>
      <c r="G36" s="32">
        <f>23000000+6600000</f>
        <v>29600000</v>
      </c>
      <c r="H36" s="25">
        <f>250000+350000+11000000+385798+506503.4+2540985.6+1579928.6+21155+3388311.6+2673656.8+17847</f>
        <v>22714186</v>
      </c>
      <c r="I36" s="46">
        <f t="shared" si="13"/>
        <v>76.73711486486486</v>
      </c>
      <c r="J36" s="67">
        <f t="shared" si="11"/>
        <v>113.37252807586724</v>
      </c>
      <c r="K36" s="52">
        <f t="shared" si="8"/>
        <v>-2679186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</f>
        <v>5000000</v>
      </c>
      <c r="U36" s="43">
        <f>152379.64+3774249.93-1600000-2300000</f>
        <v>26629.570000000298</v>
      </c>
      <c r="V36" s="43">
        <f>3073370.43-1535000-1100000</f>
        <v>438370.43000000017</v>
      </c>
      <c r="W36" s="43">
        <f>3500000-1000000</f>
        <v>2500000</v>
      </c>
      <c r="X36" s="73">
        <f t="shared" si="12"/>
        <v>23000000</v>
      </c>
      <c r="Y36" s="74">
        <f t="shared" si="7"/>
        <v>6600000</v>
      </c>
    </row>
    <row r="37" spans="1:25" s="4" customFormat="1" ht="22.5" customHeight="1">
      <c r="A37" s="1"/>
      <c r="B37" s="5"/>
      <c r="C37" s="54" t="s">
        <v>61</v>
      </c>
      <c r="D37" s="32">
        <f t="shared" si="9"/>
        <v>1466600</v>
      </c>
      <c r="E37" s="30"/>
      <c r="F37" s="32">
        <f t="shared" si="10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1"/>
        <v>85.6637984019668</v>
      </c>
      <c r="K37" s="52">
        <f t="shared" si="8"/>
        <v>186600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7"/>
        <v>0</v>
      </c>
    </row>
    <row r="38" spans="1:25" s="4" customFormat="1" ht="22.5" customHeight="1">
      <c r="A38" s="1"/>
      <c r="B38" s="5"/>
      <c r="C38" s="24" t="s">
        <v>103</v>
      </c>
      <c r="D38" s="32">
        <f t="shared" si="9"/>
        <v>49273597</v>
      </c>
      <c r="E38" s="30"/>
      <c r="F38" s="32">
        <f t="shared" si="10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</f>
        <v>36386976.34</v>
      </c>
      <c r="I38" s="46">
        <f t="shared" si="13"/>
        <v>73.84680347164426</v>
      </c>
      <c r="J38" s="67">
        <f t="shared" si="11"/>
        <v>90.42804434757008</v>
      </c>
      <c r="K38" s="52">
        <f t="shared" si="8"/>
        <v>3851620.6599999964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1073488.25-1073488.25+4888557</f>
        <v>4888557</v>
      </c>
      <c r="U38" s="43">
        <f>701511.75-701511.75+2500000-1.25</f>
        <v>2499998.75</v>
      </c>
      <c r="V38" s="43">
        <f>130000-130000+1000000+1535000+1.25</f>
        <v>2535001.25</v>
      </c>
      <c r="W38" s="43">
        <f>3000000+1000000</f>
        <v>4000000</v>
      </c>
      <c r="X38" s="73">
        <f t="shared" si="12"/>
        <v>49273597</v>
      </c>
      <c r="Y38" s="74">
        <f t="shared" si="7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9"/>
        <v>5700000</v>
      </c>
      <c r="E39" s="30"/>
      <c r="F39" s="32">
        <f t="shared" si="10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1"/>
        <v>93.16901408450704</v>
      </c>
      <c r="K39" s="52">
        <f t="shared" si="8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/>
      <c r="W39" s="43">
        <f>500000</f>
        <v>500000</v>
      </c>
      <c r="X39" s="73">
        <f t="shared" si="12"/>
        <v>5000000</v>
      </c>
      <c r="Y39" s="74">
        <f t="shared" si="7"/>
        <v>700000</v>
      </c>
    </row>
    <row r="40" spans="1:25" s="4" customFormat="1" ht="23.25" customHeight="1">
      <c r="A40" s="1"/>
      <c r="B40" s="5"/>
      <c r="C40" s="54" t="s">
        <v>63</v>
      </c>
      <c r="D40" s="32">
        <f t="shared" si="9"/>
        <v>6380000</v>
      </c>
      <c r="E40" s="30"/>
      <c r="F40" s="32">
        <f t="shared" si="10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1"/>
        <v>71.965013322884</v>
      </c>
      <c r="K40" s="52">
        <f t="shared" si="8"/>
        <v>1788632.1500000004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7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1"/>
        <v>90.10773750000001</v>
      </c>
      <c r="K41" s="52">
        <f t="shared" si="8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7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1"/>
        <v>33.42245989304813</v>
      </c>
      <c r="K42" s="52">
        <f t="shared" si="8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7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1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3">
        <f t="shared" si="12"/>
        <v>7700000</v>
      </c>
      <c r="Y43" s="74">
        <f t="shared" si="7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1"/>
        <v>124.01066072230009</v>
      </c>
      <c r="K44" s="52">
        <f t="shared" si="8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3">
        <f>SUM(L44:W44)</f>
        <v>145755</v>
      </c>
      <c r="Y44" s="74">
        <f t="shared" si="7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1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7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52442718.14</v>
      </c>
      <c r="I47" s="64">
        <f>H47/D47*100</f>
        <v>45.67046811689803</v>
      </c>
      <c r="J47" s="64">
        <f>H48/(L48+M48+N48+O48+P48+Q48+R48+S48+T48)*100</f>
        <v>80.67263539552548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114828510.2</v>
      </c>
      <c r="E48" s="30"/>
      <c r="F48" s="30">
        <f>SUM(F49:F100)</f>
        <v>114828510.2</v>
      </c>
      <c r="G48" s="30">
        <f>SUM(G49:G100)</f>
        <v>114828510.2</v>
      </c>
      <c r="H48" s="30">
        <f>SUM(H49:H100)</f>
        <v>52442718.14</v>
      </c>
      <c r="I48" s="48">
        <f>H48/D48*100</f>
        <v>45.67046811689803</v>
      </c>
      <c r="J48" s="68">
        <f>H48/(L48+M48+N48+O48+P48+Q48+R48+S48+T48)*100</f>
        <v>80.67263539552548</v>
      </c>
      <c r="K48" s="52">
        <f>L48+M48+N48+O48+P48+Q48+R48+S48+T48-H48</f>
        <v>12564105.899999999</v>
      </c>
      <c r="L48" s="61">
        <f>SUM(L49:L100)</f>
        <v>0</v>
      </c>
      <c r="M48" s="61">
        <f aca="true" t="shared" si="14" ref="M48:X48">SUM(M49:M100)</f>
        <v>2416000</v>
      </c>
      <c r="N48" s="61">
        <f>SUM(N49:N100)</f>
        <v>3584000</v>
      </c>
      <c r="O48" s="61">
        <f t="shared" si="14"/>
        <v>640500</v>
      </c>
      <c r="P48" s="61">
        <f t="shared" si="14"/>
        <v>6993995.17</v>
      </c>
      <c r="Q48" s="61">
        <f t="shared" si="14"/>
        <v>14129230</v>
      </c>
      <c r="R48" s="61">
        <f t="shared" si="14"/>
        <v>10444146</v>
      </c>
      <c r="S48" s="61">
        <f t="shared" si="14"/>
        <v>18083470.259999998</v>
      </c>
      <c r="T48" s="61">
        <f t="shared" si="14"/>
        <v>8715482.61</v>
      </c>
      <c r="U48" s="61">
        <f t="shared" si="14"/>
        <v>16160445.11</v>
      </c>
      <c r="V48" s="61">
        <f t="shared" si="14"/>
        <v>10375125.219999999</v>
      </c>
      <c r="W48" s="61">
        <f>SUM(W49:W100)</f>
        <v>3029115.83</v>
      </c>
      <c r="X48" s="61">
        <f t="shared" si="14"/>
        <v>94571510.2</v>
      </c>
      <c r="Y48" s="69">
        <f>D48-X48</f>
        <v>20257000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5" ref="D49:D89">F49</f>
        <v>768000</v>
      </c>
      <c r="E49" s="30"/>
      <c r="F49" s="25">
        <f aca="true" t="shared" si="16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H49/(L49+M49+N49+O49+P49+Q49+R49+S49+T49)*100</f>
        <v>99.97009562848389</v>
      </c>
      <c r="K49" s="52">
        <f t="shared" si="8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69">
        <f aca="true" t="shared" si="17" ref="Y49:Y103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5"/>
        <v>64000</v>
      </c>
      <c r="E50" s="30"/>
      <c r="F50" s="25">
        <f t="shared" si="16"/>
        <v>64000</v>
      </c>
      <c r="G50" s="32">
        <f>164000-100000</f>
        <v>64000</v>
      </c>
      <c r="H50" s="25"/>
      <c r="I50" s="46"/>
      <c r="J50" s="67"/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8" ref="X50:X100">SUM(L50:W50)</f>
        <v>64000</v>
      </c>
      <c r="Y50" s="69">
        <f t="shared" si="17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5"/>
        <v>109800</v>
      </c>
      <c r="E51" s="30"/>
      <c r="F51" s="25">
        <f t="shared" si="16"/>
        <v>109800</v>
      </c>
      <c r="G51" s="32">
        <v>109800</v>
      </c>
      <c r="H51" s="25"/>
      <c r="I51" s="46"/>
      <c r="J51" s="67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8"/>
        <v>109800</v>
      </c>
      <c r="Y51" s="69">
        <f t="shared" si="17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5"/>
        <v>25280</v>
      </c>
      <c r="E52" s="30"/>
      <c r="F52" s="25">
        <f t="shared" si="16"/>
        <v>25280</v>
      </c>
      <c r="G52" s="32">
        <v>25280</v>
      </c>
      <c r="H52" s="25"/>
      <c r="I52" s="46"/>
      <c r="J52" s="67"/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8"/>
        <v>25280</v>
      </c>
      <c r="Y52" s="69">
        <f t="shared" si="17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5"/>
        <v>600000</v>
      </c>
      <c r="E53" s="30"/>
      <c r="F53" s="25">
        <f t="shared" si="16"/>
        <v>600000</v>
      </c>
      <c r="G53" s="32">
        <v>600000</v>
      </c>
      <c r="H53" s="25"/>
      <c r="I53" s="46"/>
      <c r="J53" s="67"/>
      <c r="K53" s="52">
        <f t="shared" si="8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8"/>
        <v>600000</v>
      </c>
      <c r="Y53" s="69">
        <f t="shared" si="17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5"/>
        <v>1100000</v>
      </c>
      <c r="E54" s="30"/>
      <c r="F54" s="25">
        <f t="shared" si="16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>H54/(L54+M54+N54+O54+P54+Q54+R54+S54+T54)*100</f>
        <v>80.82731572561399</v>
      </c>
      <c r="K54" s="52">
        <f t="shared" si="8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8"/>
        <v>1100000</v>
      </c>
      <c r="Y54" s="69">
        <f t="shared" si="17"/>
        <v>0</v>
      </c>
    </row>
    <row r="55" spans="1:25" s="77" customFormat="1" ht="22.5" customHeight="1" hidden="1">
      <c r="A55" s="1"/>
      <c r="B55" s="29"/>
      <c r="C55" s="56" t="s">
        <v>71</v>
      </c>
      <c r="D55" s="32">
        <f t="shared" si="15"/>
        <v>0</v>
      </c>
      <c r="E55" s="30"/>
      <c r="F55" s="25">
        <f t="shared" si="16"/>
        <v>0</v>
      </c>
      <c r="G55" s="32">
        <f>750000-750000</f>
        <v>0</v>
      </c>
      <c r="H55" s="25"/>
      <c r="I55" s="46"/>
      <c r="J55" s="67"/>
      <c r="K55" s="52">
        <f t="shared" si="8"/>
        <v>-750000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>
        <v>-750000</v>
      </c>
      <c r="U55" s="60">
        <v>494552.02</v>
      </c>
      <c r="V55" s="60">
        <v>225447.98</v>
      </c>
      <c r="W55" s="60">
        <f>30000</f>
        <v>30000</v>
      </c>
      <c r="X55" s="59">
        <f t="shared" si="18"/>
        <v>2.9103830456733704E-11</v>
      </c>
      <c r="Y55" s="69">
        <f t="shared" si="17"/>
        <v>-2.9103830456733704E-11</v>
      </c>
    </row>
    <row r="56" spans="1:25" s="77" customFormat="1" ht="40.5" customHeight="1">
      <c r="A56" s="1"/>
      <c r="B56" s="29"/>
      <c r="C56" s="56" t="s">
        <v>108</v>
      </c>
      <c r="D56" s="32">
        <f t="shared" si="15"/>
        <v>1180000</v>
      </c>
      <c r="E56" s="30"/>
      <c r="F56" s="25">
        <f t="shared" si="16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7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8"/>
        <v>1180000</v>
      </c>
      <c r="Y56" s="69">
        <f t="shared" si="17"/>
        <v>0</v>
      </c>
    </row>
    <row r="57" spans="1:25" s="77" customFormat="1" ht="40.5" customHeight="1" hidden="1">
      <c r="A57" s="1"/>
      <c r="B57" s="29"/>
      <c r="C57" s="56" t="s">
        <v>72</v>
      </c>
      <c r="D57" s="32">
        <f t="shared" si="15"/>
        <v>0</v>
      </c>
      <c r="E57" s="30"/>
      <c r="F57" s="25">
        <f t="shared" si="16"/>
        <v>0</v>
      </c>
      <c r="G57" s="32">
        <f>550000-550000</f>
        <v>0</v>
      </c>
      <c r="H57" s="25"/>
      <c r="I57" s="46" t="e">
        <f>H57/D57*100</f>
        <v>#DIV/0!</v>
      </c>
      <c r="J57" s="67" t="e">
        <f>H57/(L57+M57+N57+O57+P57+Q57+R57+S57+T57)*100</f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8"/>
        <v>0</v>
      </c>
      <c r="Y57" s="69">
        <f t="shared" si="17"/>
        <v>0</v>
      </c>
    </row>
    <row r="58" spans="1:25" s="77" customFormat="1" ht="40.5" customHeight="1">
      <c r="A58" s="1"/>
      <c r="B58" s="29"/>
      <c r="C58" s="56" t="s">
        <v>73</v>
      </c>
      <c r="D58" s="32">
        <f t="shared" si="15"/>
        <v>120000</v>
      </c>
      <c r="E58" s="30"/>
      <c r="F58" s="25">
        <f t="shared" si="16"/>
        <v>120000</v>
      </c>
      <c r="G58" s="32">
        <v>120000</v>
      </c>
      <c r="H58" s="25"/>
      <c r="I58" s="46"/>
      <c r="J58" s="67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8"/>
        <v>120000</v>
      </c>
      <c r="Y58" s="69">
        <f t="shared" si="17"/>
        <v>0</v>
      </c>
    </row>
    <row r="59" spans="1:25" s="77" customFormat="1" ht="24.75" customHeight="1" hidden="1">
      <c r="A59" s="1"/>
      <c r="B59" s="29"/>
      <c r="C59" s="56" t="s">
        <v>74</v>
      </c>
      <c r="D59" s="32">
        <f t="shared" si="15"/>
        <v>0</v>
      </c>
      <c r="E59" s="30"/>
      <c r="F59" s="25">
        <f t="shared" si="16"/>
        <v>0</v>
      </c>
      <c r="G59" s="32">
        <f>128800-128800</f>
        <v>0</v>
      </c>
      <c r="H59" s="25"/>
      <c r="I59" s="46"/>
      <c r="J59" s="67"/>
      <c r="K59" s="52">
        <f t="shared" si="8"/>
        <v>-64400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f>64400-128800</f>
        <v>-64400</v>
      </c>
      <c r="U59" s="59"/>
      <c r="V59" s="59">
        <f>64400</f>
        <v>64400</v>
      </c>
      <c r="W59" s="59"/>
      <c r="X59" s="59">
        <f t="shared" si="18"/>
        <v>0</v>
      </c>
      <c r="Y59" s="69">
        <f t="shared" si="17"/>
        <v>0</v>
      </c>
    </row>
    <row r="60" spans="1:25" s="77" customFormat="1" ht="23.25" customHeight="1">
      <c r="A60" s="1"/>
      <c r="B60" s="29"/>
      <c r="C60" s="56" t="s">
        <v>75</v>
      </c>
      <c r="D60" s="32">
        <f t="shared" si="15"/>
        <v>5000</v>
      </c>
      <c r="E60" s="30"/>
      <c r="F60" s="25">
        <f t="shared" si="16"/>
        <v>5000</v>
      </c>
      <c r="G60" s="32">
        <v>5000</v>
      </c>
      <c r="H60" s="25"/>
      <c r="I60" s="46"/>
      <c r="J60" s="67"/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8"/>
        <v>5000</v>
      </c>
      <c r="Y60" s="69">
        <f t="shared" si="17"/>
        <v>0</v>
      </c>
    </row>
    <row r="61" spans="1:25" s="77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>H61/(L61+M61+N61+O61+P61+Q61+R61+S61+T61)*100</f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8"/>
        <v>500000</v>
      </c>
      <c r="Y61" s="69">
        <f t="shared" si="17"/>
        <v>0</v>
      </c>
    </row>
    <row r="62" spans="1:25" s="77" customFormat="1" ht="23.25" customHeight="1">
      <c r="A62" s="1"/>
      <c r="B62" s="29"/>
      <c r="C62" s="78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7"/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8"/>
        <v>200000</v>
      </c>
      <c r="Y62" s="69">
        <f t="shared" si="17"/>
        <v>0</v>
      </c>
    </row>
    <row r="63" spans="1:25" s="77" customFormat="1" ht="24.75" customHeight="1">
      <c r="A63" s="1"/>
      <c r="B63" s="29"/>
      <c r="C63" s="55" t="s">
        <v>76</v>
      </c>
      <c r="D63" s="32">
        <f t="shared" si="15"/>
        <v>120000</v>
      </c>
      <c r="E63" s="30"/>
      <c r="F63" s="25">
        <f t="shared" si="16"/>
        <v>120000</v>
      </c>
      <c r="G63" s="32">
        <v>120000</v>
      </c>
      <c r="H63" s="25"/>
      <c r="I63" s="46"/>
      <c r="J63" s="67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8"/>
        <v>120000</v>
      </c>
      <c r="Y63" s="69">
        <f t="shared" si="17"/>
        <v>0</v>
      </c>
    </row>
    <row r="64" spans="1:25" s="77" customFormat="1" ht="39.75" customHeight="1">
      <c r="A64" s="1"/>
      <c r="B64" s="29"/>
      <c r="C64" s="56" t="s">
        <v>77</v>
      </c>
      <c r="D64" s="32">
        <f t="shared" si="15"/>
        <v>500</v>
      </c>
      <c r="E64" s="30"/>
      <c r="F64" s="25">
        <f t="shared" si="16"/>
        <v>500</v>
      </c>
      <c r="G64" s="32">
        <v>500</v>
      </c>
      <c r="H64" s="25"/>
      <c r="I64" s="46"/>
      <c r="J64" s="67"/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8"/>
        <v>500</v>
      </c>
      <c r="Y64" s="69">
        <f t="shared" si="17"/>
        <v>0</v>
      </c>
    </row>
    <row r="65" spans="1:25" s="77" customFormat="1" ht="24.75" customHeight="1">
      <c r="A65" s="1"/>
      <c r="B65" s="29"/>
      <c r="C65" s="55" t="s">
        <v>78</v>
      </c>
      <c r="D65" s="32">
        <f t="shared" si="15"/>
        <v>50000</v>
      </c>
      <c r="E65" s="30"/>
      <c r="F65" s="25">
        <f t="shared" si="16"/>
        <v>50000</v>
      </c>
      <c r="G65" s="32">
        <v>50000</v>
      </c>
      <c r="H65" s="25"/>
      <c r="I65" s="46"/>
      <c r="J65" s="67"/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8"/>
        <v>50000</v>
      </c>
      <c r="Y65" s="69">
        <f t="shared" si="17"/>
        <v>0</v>
      </c>
    </row>
    <row r="66" spans="1:25" s="77" customFormat="1" ht="24.75" customHeight="1">
      <c r="A66" s="1"/>
      <c r="B66" s="29"/>
      <c r="C66" s="31" t="s">
        <v>104</v>
      </c>
      <c r="D66" s="32">
        <f t="shared" si="15"/>
        <v>25000</v>
      </c>
      <c r="E66" s="30"/>
      <c r="F66" s="25">
        <f t="shared" si="16"/>
        <v>25000</v>
      </c>
      <c r="G66" s="32">
        <v>25000</v>
      </c>
      <c r="H66" s="25"/>
      <c r="I66" s="46"/>
      <c r="J66" s="67"/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8"/>
        <v>25000</v>
      </c>
      <c r="Y66" s="69">
        <f t="shared" si="17"/>
        <v>0</v>
      </c>
    </row>
    <row r="67" spans="1:25" s="77" customFormat="1" ht="24.75" customHeight="1">
      <c r="A67" s="1"/>
      <c r="B67" s="29"/>
      <c r="C67" s="55" t="s">
        <v>79</v>
      </c>
      <c r="D67" s="32">
        <f t="shared" si="15"/>
        <v>200000</v>
      </c>
      <c r="E67" s="30"/>
      <c r="F67" s="25">
        <f t="shared" si="16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>H67/(L67+M67+N67+O67+P67+Q67+R67+S67+T67)*100</f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8"/>
        <v>200000</v>
      </c>
      <c r="Y67" s="69">
        <f t="shared" si="17"/>
        <v>0</v>
      </c>
    </row>
    <row r="68" spans="1:25" s="77" customFormat="1" ht="24.75" customHeight="1">
      <c r="A68" s="1"/>
      <c r="B68" s="29"/>
      <c r="C68" s="55" t="s">
        <v>80</v>
      </c>
      <c r="D68" s="32">
        <f t="shared" si="15"/>
        <v>200000</v>
      </c>
      <c r="E68" s="30"/>
      <c r="F68" s="25">
        <f t="shared" si="16"/>
        <v>200000</v>
      </c>
      <c r="G68" s="32">
        <v>200000</v>
      </c>
      <c r="H68" s="25"/>
      <c r="I68" s="46"/>
      <c r="J68" s="67"/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8"/>
        <v>200000</v>
      </c>
      <c r="Y68" s="69">
        <f t="shared" si="17"/>
        <v>0</v>
      </c>
    </row>
    <row r="69" spans="1:25" s="77" customFormat="1" ht="24.75" customHeight="1">
      <c r="A69" s="1"/>
      <c r="B69" s="29"/>
      <c r="C69" s="55" t="s">
        <v>81</v>
      </c>
      <c r="D69" s="32">
        <f t="shared" si="15"/>
        <v>12760000</v>
      </c>
      <c r="E69" s="30"/>
      <c r="F69" s="25">
        <f t="shared" si="16"/>
        <v>12760000</v>
      </c>
      <c r="G69" s="32">
        <f>300000+5000000+7460000</f>
        <v>12760000</v>
      </c>
      <c r="H69" s="25">
        <f>300000</f>
        <v>300000</v>
      </c>
      <c r="I69" s="46">
        <f>H69/D69*100</f>
        <v>2.3510971786833856</v>
      </c>
      <c r="J69" s="67">
        <f>H69/(L69+M69+N69+O69+P69+Q69+R69+S69+T69)*100</f>
        <v>9.67741935483871</v>
      </c>
      <c r="K69" s="52">
        <f t="shared" si="8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8"/>
        <v>5300000</v>
      </c>
      <c r="Y69" s="69">
        <f t="shared" si="17"/>
        <v>7460000</v>
      </c>
    </row>
    <row r="70" spans="1:25" s="77" customFormat="1" ht="24.75" customHeight="1">
      <c r="A70" s="1"/>
      <c r="B70" s="29"/>
      <c r="C70" s="57" t="s">
        <v>82</v>
      </c>
      <c r="D70" s="32">
        <f t="shared" si="15"/>
        <v>350000</v>
      </c>
      <c r="E70" s="30"/>
      <c r="F70" s="25">
        <f t="shared" si="16"/>
        <v>350000</v>
      </c>
      <c r="G70" s="32">
        <v>350000</v>
      </c>
      <c r="H70" s="25">
        <f>105000</f>
        <v>105000</v>
      </c>
      <c r="I70" s="46">
        <f>H70/D70*100</f>
        <v>30</v>
      </c>
      <c r="J70" s="67">
        <f>H70/(L70+M70+N70+O70+P70+Q70+R70+S70+T70)*100</f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8"/>
        <v>350000</v>
      </c>
      <c r="Y70" s="69">
        <f t="shared" si="17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5"/>
        <v>200000</v>
      </c>
      <c r="E71" s="30"/>
      <c r="F71" s="25">
        <f t="shared" si="16"/>
        <v>200000</v>
      </c>
      <c r="G71" s="32">
        <v>200000</v>
      </c>
      <c r="H71" s="25">
        <f>60000</f>
        <v>60000</v>
      </c>
      <c r="I71" s="46">
        <f>H71/D71*100</f>
        <v>30</v>
      </c>
      <c r="J71" s="67">
        <f>H71/(L71+M71+N71+O71+P71+Q71+R71+S71+T71)*100</f>
        <v>39.482256016108764</v>
      </c>
      <c r="K71" s="52">
        <f t="shared" si="8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8"/>
        <v>200000</v>
      </c>
      <c r="Y71" s="69">
        <f t="shared" si="17"/>
        <v>0</v>
      </c>
    </row>
    <row r="72" spans="1:25" s="77" customFormat="1" ht="26.25" customHeight="1">
      <c r="A72" s="1"/>
      <c r="B72" s="29"/>
      <c r="C72" s="58" t="s">
        <v>84</v>
      </c>
      <c r="D72" s="32">
        <f t="shared" si="15"/>
        <v>250000</v>
      </c>
      <c r="E72" s="30"/>
      <c r="F72" s="25">
        <f t="shared" si="16"/>
        <v>250000</v>
      </c>
      <c r="G72" s="32">
        <v>250000</v>
      </c>
      <c r="H72" s="25"/>
      <c r="I72" s="46"/>
      <c r="J72" s="67"/>
      <c r="K72" s="52">
        <f t="shared" si="8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8"/>
        <v>250000</v>
      </c>
      <c r="Y72" s="69">
        <f t="shared" si="17"/>
        <v>0</v>
      </c>
    </row>
    <row r="73" spans="1:25" s="77" customFormat="1" ht="24.75" customHeight="1">
      <c r="A73" s="1"/>
      <c r="B73" s="29"/>
      <c r="C73" s="56" t="s">
        <v>85</v>
      </c>
      <c r="D73" s="32">
        <f t="shared" si="15"/>
        <v>260000</v>
      </c>
      <c r="E73" s="30"/>
      <c r="F73" s="25">
        <f t="shared" si="16"/>
        <v>260000</v>
      </c>
      <c r="G73" s="32">
        <v>260000</v>
      </c>
      <c r="H73" s="25"/>
      <c r="I73" s="46"/>
      <c r="J73" s="67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8"/>
        <v>260000</v>
      </c>
      <c r="Y73" s="69">
        <f t="shared" si="17"/>
        <v>0</v>
      </c>
    </row>
    <row r="74" spans="1:25" s="77" customFormat="1" ht="24.75" customHeight="1">
      <c r="A74" s="1"/>
      <c r="B74" s="29"/>
      <c r="C74" s="56" t="s">
        <v>102</v>
      </c>
      <c r="D74" s="32">
        <f t="shared" si="15"/>
        <v>150000</v>
      </c>
      <c r="E74" s="30"/>
      <c r="F74" s="25">
        <f t="shared" si="16"/>
        <v>150000</v>
      </c>
      <c r="G74" s="32">
        <v>150000</v>
      </c>
      <c r="H74" s="25"/>
      <c r="I74" s="46"/>
      <c r="J74" s="67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8"/>
        <v>150000</v>
      </c>
      <c r="Y74" s="69">
        <f t="shared" si="17"/>
        <v>0</v>
      </c>
    </row>
    <row r="75" spans="1:25" s="77" customFormat="1" ht="24.75" customHeight="1">
      <c r="A75" s="1"/>
      <c r="B75" s="29"/>
      <c r="C75" s="56" t="s">
        <v>86</v>
      </c>
      <c r="D75" s="32">
        <f t="shared" si="15"/>
        <v>150000</v>
      </c>
      <c r="E75" s="30"/>
      <c r="F75" s="25">
        <f t="shared" si="16"/>
        <v>150000</v>
      </c>
      <c r="G75" s="32">
        <v>150000</v>
      </c>
      <c r="H75" s="25"/>
      <c r="I75" s="46"/>
      <c r="J75" s="67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8"/>
        <v>150000</v>
      </c>
      <c r="Y75" s="69">
        <f t="shared" si="17"/>
        <v>0</v>
      </c>
    </row>
    <row r="76" spans="1:25" s="77" customFormat="1" ht="24.75" customHeight="1">
      <c r="A76" s="1"/>
      <c r="B76" s="29"/>
      <c r="C76" s="55" t="s">
        <v>87</v>
      </c>
      <c r="D76" s="32">
        <f t="shared" si="15"/>
        <v>19540000</v>
      </c>
      <c r="E76" s="30"/>
      <c r="F76" s="25">
        <f t="shared" si="16"/>
        <v>19540000</v>
      </c>
      <c r="G76" s="32">
        <f>12500000+2000000+5040000</f>
        <v>19540000</v>
      </c>
      <c r="H76" s="25">
        <f>6182.05+6000000+1080000</f>
        <v>7086182.05</v>
      </c>
      <c r="I76" s="25">
        <f>H76/D76*100</f>
        <v>36.26500537359263</v>
      </c>
      <c r="J76" s="67">
        <f>H76/(L76+M76+N76+O76+P76+Q76+R76+S76+T76)*100</f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8"/>
        <v>14500000</v>
      </c>
      <c r="Y76" s="69">
        <f t="shared" si="17"/>
        <v>5040000</v>
      </c>
    </row>
    <row r="77" spans="1:25" s="77" customFormat="1" ht="21.75" customHeight="1">
      <c r="A77" s="1"/>
      <c r="B77" s="29"/>
      <c r="C77" s="55" t="s">
        <v>88</v>
      </c>
      <c r="D77" s="32">
        <f t="shared" si="15"/>
        <v>3050000</v>
      </c>
      <c r="E77" s="30"/>
      <c r="F77" s="25">
        <f t="shared" si="16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7">
        <f>H77/(L77+M77+N77+O77+P77+Q77+R77+S77+T77)*100</f>
        <v>62.61171163506879</v>
      </c>
      <c r="K77" s="52">
        <f t="shared" si="8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8"/>
        <v>3050000</v>
      </c>
      <c r="Y77" s="69">
        <f t="shared" si="17"/>
        <v>0</v>
      </c>
    </row>
    <row r="78" spans="1:25" s="77" customFormat="1" ht="18.75" customHeight="1">
      <c r="A78" s="1"/>
      <c r="B78" s="29"/>
      <c r="C78" s="55" t="s">
        <v>89</v>
      </c>
      <c r="D78" s="32">
        <f t="shared" si="15"/>
        <v>3926191</v>
      </c>
      <c r="E78" s="30"/>
      <c r="F78" s="25">
        <f t="shared" si="16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7">
        <f>H78/(L78+M78+N78+O78+P78+Q78+R78+S78+T78)*100</f>
        <v>92.12919245680837</v>
      </c>
      <c r="K78" s="52">
        <f t="shared" si="8"/>
        <v>292966.4900000002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1000000-749150-100000-150850-180000-24000</f>
        <v>-204000</v>
      </c>
      <c r="U78" s="59">
        <f>1000000-1000000+24000</f>
        <v>24000</v>
      </c>
      <c r="V78" s="59">
        <f>1325950+1000000-1000000-550500-88109-687341+180000</f>
        <v>180000</v>
      </c>
      <c r="W78" s="59">
        <f>500000-500000</f>
        <v>0</v>
      </c>
      <c r="X78" s="59">
        <f t="shared" si="18"/>
        <v>3926191</v>
      </c>
      <c r="Y78" s="69">
        <f t="shared" si="17"/>
        <v>0</v>
      </c>
    </row>
    <row r="79" spans="1:25" s="77" customFormat="1" ht="18.75" customHeight="1">
      <c r="A79" s="1"/>
      <c r="B79" s="29"/>
      <c r="C79" s="31" t="s">
        <v>32</v>
      </c>
      <c r="D79" s="32">
        <f t="shared" si="15"/>
        <v>2519000</v>
      </c>
      <c r="E79" s="30"/>
      <c r="F79" s="25">
        <f t="shared" si="16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7">
        <f>H79/(L79+M79+N79+O79+P79+Q79+R79+S79+T79)*100</f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8"/>
        <v>2519000</v>
      </c>
      <c r="Y79" s="69">
        <f t="shared" si="17"/>
        <v>0</v>
      </c>
    </row>
    <row r="80" spans="1:25" s="77" customFormat="1" ht="19.5" customHeight="1">
      <c r="A80" s="1"/>
      <c r="B80" s="29"/>
      <c r="C80" s="31" t="s">
        <v>33</v>
      </c>
      <c r="D80" s="32">
        <f t="shared" si="15"/>
        <v>4000000</v>
      </c>
      <c r="E80" s="30"/>
      <c r="F80" s="25">
        <f t="shared" si="16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7">
        <f>H80/(L80+M80+N80+O80+P80+Q80+R80+S80+T80)*100</f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8"/>
        <v>4000000</v>
      </c>
      <c r="Y80" s="69">
        <f t="shared" si="17"/>
        <v>0</v>
      </c>
    </row>
    <row r="81" spans="1:25" s="77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7"/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8"/>
        <v>100000</v>
      </c>
      <c r="Y81" s="69">
        <f t="shared" si="17"/>
        <v>0</v>
      </c>
    </row>
    <row r="82" spans="1:25" s="77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7"/>
      <c r="K82" s="52">
        <f t="shared" si="8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8"/>
        <v>500000</v>
      </c>
      <c r="Y82" s="69">
        <f t="shared" si="17"/>
        <v>0</v>
      </c>
    </row>
    <row r="83" spans="1:25" s="77" customFormat="1" ht="19.5" customHeight="1">
      <c r="A83" s="1"/>
      <c r="B83" s="29"/>
      <c r="C83" s="31" t="s">
        <v>116</v>
      </c>
      <c r="D83" s="32">
        <f>F83</f>
        <v>80000</v>
      </c>
      <c r="E83" s="30"/>
      <c r="F83" s="25">
        <f>G83</f>
        <v>80000</v>
      </c>
      <c r="G83" s="32">
        <f>1480000-149491-1250509</f>
        <v>80000</v>
      </c>
      <c r="H83" s="25"/>
      <c r="I83" s="46"/>
      <c r="J83" s="67"/>
      <c r="K83" s="52">
        <f t="shared" si="8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8"/>
        <v>1480000</v>
      </c>
      <c r="Y83" s="69">
        <f t="shared" si="17"/>
        <v>-1400000</v>
      </c>
    </row>
    <row r="84" spans="1:25" s="77" customFormat="1" ht="40.5" customHeight="1">
      <c r="A84" s="1"/>
      <c r="B84" s="29"/>
      <c r="C84" s="55" t="s">
        <v>34</v>
      </c>
      <c r="D84" s="32">
        <f t="shared" si="15"/>
        <v>147000</v>
      </c>
      <c r="E84" s="30"/>
      <c r="F84" s="25">
        <f t="shared" si="16"/>
        <v>147000</v>
      </c>
      <c r="G84" s="32">
        <f>462000+385000-700000</f>
        <v>147000</v>
      </c>
      <c r="H84" s="25"/>
      <c r="I84" s="46"/>
      <c r="J84" s="67"/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8"/>
        <v>147000</v>
      </c>
      <c r="Y84" s="69">
        <f t="shared" si="17"/>
        <v>0</v>
      </c>
    </row>
    <row r="85" spans="1:25" s="77" customFormat="1" ht="40.5" customHeight="1">
      <c r="A85" s="1"/>
      <c r="B85" s="29"/>
      <c r="C85" s="55" t="s">
        <v>90</v>
      </c>
      <c r="D85" s="32">
        <f t="shared" si="15"/>
        <v>18707000</v>
      </c>
      <c r="E85" s="30"/>
      <c r="F85" s="25">
        <f t="shared" si="16"/>
        <v>18707000</v>
      </c>
      <c r="G85" s="32">
        <f>3000000+8600000+1000000+6107000</f>
        <v>18707000</v>
      </c>
      <c r="H85" s="25">
        <f>1400000+4300000+1082142+1437858+23357.42+1714649.98+3000000</f>
        <v>12958007.4</v>
      </c>
      <c r="I85" s="46">
        <f>H85/D85*100</f>
        <v>69.26822793606672</v>
      </c>
      <c r="J85" s="67">
        <f>H85/(L85+M85+N85+O85+P85+Q85+R85+S85+T85)*100</f>
        <v>129.01241935483873</v>
      </c>
      <c r="K85" s="52">
        <f t="shared" si="8"/>
        <v>-2914007.4000000004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f>2000000+24000+1800000</f>
        <v>3824000</v>
      </c>
      <c r="U85" s="59">
        <f>1300000+1000000-24000-1800000</f>
        <v>476000</v>
      </c>
      <c r="V85" s="59">
        <v>1000000</v>
      </c>
      <c r="W85" s="59">
        <f>80000</f>
        <v>80000</v>
      </c>
      <c r="X85" s="59">
        <f t="shared" si="18"/>
        <v>11600000</v>
      </c>
      <c r="Y85" s="69">
        <f t="shared" si="17"/>
        <v>7107000</v>
      </c>
    </row>
    <row r="86" spans="1:25" s="77" customFormat="1" ht="40.5" customHeight="1">
      <c r="A86" s="1"/>
      <c r="B86" s="29"/>
      <c r="C86" s="31" t="s">
        <v>35</v>
      </c>
      <c r="D86" s="32">
        <f t="shared" si="15"/>
        <v>2188000</v>
      </c>
      <c r="E86" s="30"/>
      <c r="F86" s="25">
        <f t="shared" si="16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7">
        <f>H86/(L86+M86+N86+O86+P86+Q86+R86+S86+T86)*100</f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8"/>
        <v>2188000</v>
      </c>
      <c r="Y86" s="69">
        <f t="shared" si="17"/>
        <v>0</v>
      </c>
    </row>
    <row r="87" spans="1:25" s="77" customFormat="1" ht="39.75" customHeight="1">
      <c r="A87" s="1"/>
      <c r="B87" s="29"/>
      <c r="C87" s="55" t="s">
        <v>36</v>
      </c>
      <c r="D87" s="32">
        <f t="shared" si="15"/>
        <v>254000</v>
      </c>
      <c r="E87" s="30"/>
      <c r="F87" s="25">
        <f t="shared" si="16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7">
        <f>H87/(L87+M87+N87+O87+P87+Q87+R87+S87+T87)*100</f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8"/>
        <v>254000</v>
      </c>
      <c r="Y87" s="69">
        <f t="shared" si="17"/>
        <v>0</v>
      </c>
    </row>
    <row r="88" spans="1:25" s="77" customFormat="1" ht="39.75" customHeight="1">
      <c r="A88" s="1"/>
      <c r="B88" s="29"/>
      <c r="C88" s="55" t="s">
        <v>91</v>
      </c>
      <c r="D88" s="32">
        <f t="shared" si="15"/>
        <v>22050000</v>
      </c>
      <c r="E88" s="30"/>
      <c r="F88" s="25">
        <f t="shared" si="16"/>
        <v>22050000</v>
      </c>
      <c r="G88" s="32">
        <f>16000000+4000000+2050000</f>
        <v>22050000</v>
      </c>
      <c r="H88" s="25">
        <f>13429+7850000+306023.62+885285.6+1757858.8+137329.67+2000000+3430424.4+44980.76+1526696.4+20069.81+1128035.73+685593.6+10647.49+148666.8+4855.48</f>
        <v>19949897.16</v>
      </c>
      <c r="I88" s="46">
        <f>H88/D88*100</f>
        <v>90.47572408163266</v>
      </c>
      <c r="J88" s="67">
        <f>H88/(L88+M88+N88+O88+P88+Q88+R88+S88+T88)*100</f>
        <v>99.7494858</v>
      </c>
      <c r="K88" s="52">
        <f t="shared" si="8"/>
        <v>50102.83999999985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8"/>
        <v>20000000</v>
      </c>
      <c r="Y88" s="69">
        <f t="shared" si="17"/>
        <v>2050000</v>
      </c>
    </row>
    <row r="89" spans="1:25" s="77" customFormat="1" ht="22.5" customHeight="1">
      <c r="A89" s="1"/>
      <c r="B89" s="29"/>
      <c r="C89" s="31" t="s">
        <v>37</v>
      </c>
      <c r="D89" s="32">
        <f t="shared" si="15"/>
        <v>137000</v>
      </c>
      <c r="E89" s="30"/>
      <c r="F89" s="25">
        <f t="shared" si="16"/>
        <v>137000</v>
      </c>
      <c r="G89" s="32">
        <f>837000-700000</f>
        <v>137000</v>
      </c>
      <c r="H89" s="25"/>
      <c r="I89" s="46"/>
      <c r="J89" s="67"/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8"/>
        <v>137000</v>
      </c>
      <c r="Y89" s="69">
        <f t="shared" si="17"/>
        <v>0</v>
      </c>
    </row>
    <row r="90" spans="1:25" s="77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6"/>
        <v>400000</v>
      </c>
      <c r="G90" s="32">
        <f>900000-500000</f>
        <v>400000</v>
      </c>
      <c r="H90" s="25"/>
      <c r="I90" s="46"/>
      <c r="J90" s="67"/>
      <c r="K90" s="52">
        <f aca="true" t="shared" si="19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8"/>
        <v>400000</v>
      </c>
      <c r="Y90" s="69">
        <f t="shared" si="17"/>
        <v>0</v>
      </c>
    </row>
    <row r="91" spans="1:25" s="77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6"/>
        <v>248000</v>
      </c>
      <c r="G91" s="25">
        <v>248000</v>
      </c>
      <c r="H91" s="25"/>
      <c r="I91" s="46"/>
      <c r="J91" s="67"/>
      <c r="K91" s="52">
        <f t="shared" si="19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8"/>
        <v>248000</v>
      </c>
      <c r="Y91" s="69">
        <f t="shared" si="17"/>
        <v>0</v>
      </c>
    </row>
    <row r="92" spans="1:25" s="77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6"/>
        <v>10545999.2</v>
      </c>
      <c r="G92" s="32">
        <f>13000000-2454000.8</f>
        <v>10545999.2</v>
      </c>
      <c r="H92" s="25"/>
      <c r="I92" s="46"/>
      <c r="J92" s="67"/>
      <c r="K92" s="52">
        <f t="shared" si="19"/>
        <v>1947785.76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f>549239.76-1800000</f>
        <v>-1250760.24</v>
      </c>
      <c r="U92" s="60">
        <f>5037999.2+1800000</f>
        <v>6837999.2</v>
      </c>
      <c r="V92" s="60">
        <v>1338861.78</v>
      </c>
      <c r="W92" s="60">
        <v>421352.46</v>
      </c>
      <c r="X92" s="59">
        <f t="shared" si="18"/>
        <v>10545999.200000001</v>
      </c>
      <c r="Y92" s="69">
        <f t="shared" si="17"/>
        <v>0</v>
      </c>
    </row>
    <row r="93" spans="1:25" s="77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6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7">
        <f>H93/(L93+M93+N93+O93+P93+Q93+R93+S93+T93)*100</f>
        <v>21.42764790183323</v>
      </c>
      <c r="K93" s="52">
        <f t="shared" si="19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8"/>
        <v>3585100</v>
      </c>
      <c r="Y93" s="69">
        <f t="shared" si="17"/>
        <v>0</v>
      </c>
    </row>
    <row r="94" spans="1:25" s="77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6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7">
        <f>H94/(L94+M94+N94+O94+P94+Q94+R94+S94+T94)*100</f>
        <v>99.711</v>
      </c>
      <c r="K94" s="52">
        <f t="shared" si="19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8"/>
        <v>300000</v>
      </c>
      <c r="Y94" s="69">
        <f t="shared" si="17"/>
        <v>0</v>
      </c>
    </row>
    <row r="95" spans="1:25" s="77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6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7">
        <f>H95/(L95+M95+N95+O95+P95+Q95+R95+S95+T95)*100</f>
        <v>54.9485</v>
      </c>
      <c r="K95" s="52">
        <f t="shared" si="19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8"/>
        <v>300000</v>
      </c>
      <c r="Y95" s="69">
        <f t="shared" si="17"/>
        <v>0</v>
      </c>
    </row>
    <row r="96" spans="1:25" s="77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6"/>
        <v>538000</v>
      </c>
      <c r="G96" s="32">
        <v>538000</v>
      </c>
      <c r="H96" s="25">
        <f>139785.59+164838.36+4545.63</f>
        <v>309169.57999999996</v>
      </c>
      <c r="I96" s="46">
        <f>H96/D96*100</f>
        <v>57.46646468401486</v>
      </c>
      <c r="J96" s="67">
        <f>H96/(L96+M96+N96+O96+P96+Q96+R96+S96+T96)*100</f>
        <v>90.9322294117647</v>
      </c>
      <c r="K96" s="52">
        <f t="shared" si="19"/>
        <v>30830.420000000042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>
        <f>180000</f>
        <v>180000</v>
      </c>
      <c r="U96" s="59"/>
      <c r="V96" s="59">
        <f>378000-180000</f>
        <v>198000</v>
      </c>
      <c r="W96" s="59"/>
      <c r="X96" s="59">
        <f t="shared" si="18"/>
        <v>538000</v>
      </c>
      <c r="Y96" s="69">
        <f t="shared" si="17"/>
        <v>0</v>
      </c>
    </row>
    <row r="97" spans="1:25" s="77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6"/>
        <v>5000</v>
      </c>
      <c r="G97" s="32">
        <v>5000</v>
      </c>
      <c r="H97" s="25"/>
      <c r="I97" s="46"/>
      <c r="J97" s="67"/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8"/>
        <v>5000</v>
      </c>
      <c r="Y97" s="69">
        <f t="shared" si="17"/>
        <v>0</v>
      </c>
    </row>
    <row r="98" spans="1:25" s="77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6"/>
        <v>20640</v>
      </c>
      <c r="G98" s="32">
        <v>20640</v>
      </c>
      <c r="H98" s="25"/>
      <c r="I98" s="46"/>
      <c r="J98" s="67"/>
      <c r="K98" s="52">
        <f t="shared" si="19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8"/>
        <v>20640</v>
      </c>
      <c r="Y98" s="69">
        <f t="shared" si="17"/>
        <v>0</v>
      </c>
    </row>
    <row r="99" spans="1:25" s="77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6"/>
        <v>250000</v>
      </c>
      <c r="G99" s="32">
        <v>250000</v>
      </c>
      <c r="H99" s="25">
        <f>30024.06+40894.59</f>
        <v>70918.65</v>
      </c>
      <c r="I99" s="46">
        <f>H99/D99*100</f>
        <v>28.36746</v>
      </c>
      <c r="J99" s="67">
        <f>H99/(L99+M99+N99+O99+P99+Q99+R99+S99+T99)*100</f>
        <v>28.36746</v>
      </c>
      <c r="K99" s="52">
        <f t="shared" si="19"/>
        <v>179081.35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8"/>
        <v>250000</v>
      </c>
      <c r="Y99" s="69">
        <f t="shared" si="17"/>
        <v>0</v>
      </c>
    </row>
    <row r="100" spans="1:25" s="77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6"/>
        <v>2050000</v>
      </c>
      <c r="G100" s="32">
        <f>50000+2000000</f>
        <v>2050000</v>
      </c>
      <c r="H100" s="25"/>
      <c r="I100" s="46"/>
      <c r="J100" s="67"/>
      <c r="K100" s="52">
        <f t="shared" si="19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8"/>
        <v>2050000</v>
      </c>
      <c r="Y100" s="69">
        <f t="shared" si="17"/>
        <v>0</v>
      </c>
    </row>
    <row r="101" spans="1:25" ht="18.75">
      <c r="A101" s="33"/>
      <c r="B101" s="18"/>
      <c r="C101" s="34" t="s">
        <v>9</v>
      </c>
      <c r="D101" s="20">
        <f>D8+D47</f>
        <v>269069174.9</v>
      </c>
      <c r="E101" s="20">
        <f>E8+E47</f>
        <v>39746763.9</v>
      </c>
      <c r="F101" s="20">
        <f>F8+F47</f>
        <v>229322411</v>
      </c>
      <c r="G101" s="20">
        <f>G8+G47</f>
        <v>229322411</v>
      </c>
      <c r="H101" s="20">
        <f>H8+H47</f>
        <v>167015686.51999998</v>
      </c>
      <c r="I101" s="44">
        <f>H101/D101*100</f>
        <v>62.071653723274565</v>
      </c>
      <c r="J101" s="44">
        <f>H101/(L101+M101+N101+O101+P101+Q101+R101+S101+T101)*100</f>
        <v>89.7677115831403</v>
      </c>
      <c r="K101" s="52">
        <f t="shared" si="19"/>
        <v>19037498.5</v>
      </c>
      <c r="L101" s="20">
        <f>L8+L25+L48</f>
        <v>112816</v>
      </c>
      <c r="M101" s="20">
        <f>M8+M25+M48</f>
        <v>3716000</v>
      </c>
      <c r="N101" s="20">
        <f>N8+N25+N48</f>
        <v>13054000</v>
      </c>
      <c r="O101" s="20">
        <f>O8+O25+O48</f>
        <v>23627301.990000002</v>
      </c>
      <c r="P101" s="20">
        <f>P8+P25+P48</f>
        <v>25067943.939999998</v>
      </c>
      <c r="Q101" s="20">
        <f>Q8+Q25+Q48</f>
        <v>23413655.380000003</v>
      </c>
      <c r="R101" s="20">
        <f>R8+R25+R48</f>
        <v>31674418.01</v>
      </c>
      <c r="S101" s="20">
        <f>S8+S25+S48</f>
        <v>45593908.06</v>
      </c>
      <c r="T101" s="20">
        <f>T8+T25+T48</f>
        <v>19793141.64</v>
      </c>
      <c r="U101" s="20">
        <f>U8+U25+U48</f>
        <v>24420517.43</v>
      </c>
      <c r="V101" s="20">
        <f>V8+V25+V48</f>
        <v>16158003.759999998</v>
      </c>
      <c r="W101" s="20">
        <f>W8+W25+W48</f>
        <v>14880468.69</v>
      </c>
      <c r="X101" s="20">
        <f>X8+X25+X48</f>
        <v>241512174.89999998</v>
      </c>
      <c r="Y101" s="69">
        <f t="shared" si="17"/>
        <v>27557000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69">
        <f t="shared" si="17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69">
        <f t="shared" si="17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2016-09-29T14:13:49Z</dcterms:modified>
  <cp:category/>
  <cp:version/>
  <cp:contentType/>
  <cp:contentStatus/>
</cp:coreProperties>
</file>